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ra\Downloads\"/>
    </mc:Choice>
  </mc:AlternateContent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86" i="1" l="1"/>
  <c r="E86" i="1"/>
  <c r="E85" i="1"/>
  <c r="E84" i="1"/>
  <c r="C59" i="1"/>
  <c r="C58" i="1"/>
  <c r="G70" i="1"/>
  <c r="I67" i="1"/>
  <c r="I66" i="1"/>
  <c r="C54" i="1"/>
  <c r="C55" i="1"/>
  <c r="C53" i="1"/>
  <c r="E69" i="1"/>
  <c r="D69" i="1"/>
  <c r="D68" i="1"/>
  <c r="E68" i="1" s="1"/>
  <c r="G68" i="1"/>
  <c r="F48" i="1" l="1"/>
  <c r="F47" i="1"/>
  <c r="G30" i="1" l="1"/>
  <c r="I33" i="1"/>
  <c r="C71" i="1" l="1"/>
  <c r="G69" i="1" s="1"/>
  <c r="C70" i="1"/>
  <c r="H69" i="1"/>
  <c r="C67" i="1"/>
  <c r="G67" i="1" s="1"/>
  <c r="C66" i="1"/>
  <c r="D50" i="1"/>
  <c r="E50" i="1"/>
  <c r="C50" i="1"/>
  <c r="H41" i="1"/>
  <c r="H42" i="1"/>
  <c r="H43" i="1"/>
  <c r="H44" i="1"/>
  <c r="H45" i="1"/>
  <c r="H46" i="1"/>
  <c r="H47" i="1"/>
  <c r="H48" i="1"/>
  <c r="H40" i="1"/>
  <c r="G41" i="1"/>
  <c r="G42" i="1"/>
  <c r="G43" i="1"/>
  <c r="G44" i="1"/>
  <c r="G45" i="1"/>
  <c r="G46" i="1"/>
  <c r="G47" i="1"/>
  <c r="G48" i="1"/>
  <c r="G40" i="1"/>
  <c r="F41" i="1"/>
  <c r="H55" i="1" s="1"/>
  <c r="F42" i="1"/>
  <c r="I55" i="1" s="1"/>
  <c r="F43" i="1"/>
  <c r="G56" i="1" s="1"/>
  <c r="F44" i="1"/>
  <c r="H56" i="1" s="1"/>
  <c r="F45" i="1"/>
  <c r="I56" i="1" s="1"/>
  <c r="F46" i="1"/>
  <c r="G57" i="1" s="1"/>
  <c r="H57" i="1"/>
  <c r="I57" i="1"/>
  <c r="F40" i="1"/>
  <c r="G55" i="1" s="1"/>
  <c r="G35" i="1"/>
  <c r="E49" i="1"/>
  <c r="L35" i="1"/>
  <c r="I35" i="1"/>
  <c r="E37" i="1"/>
  <c r="D37" i="1"/>
  <c r="C37" i="1"/>
  <c r="H68" i="1" l="1"/>
  <c r="I36" i="1"/>
  <c r="H66" i="1"/>
  <c r="H70" i="1"/>
  <c r="K57" i="1"/>
  <c r="I59" i="1"/>
  <c r="J56" i="1"/>
  <c r="H59" i="1"/>
  <c r="K55" i="1"/>
  <c r="F49" i="1"/>
  <c r="J55" i="1"/>
  <c r="K56" i="1"/>
  <c r="J57" i="1"/>
  <c r="G58" i="1"/>
  <c r="I58" i="1"/>
  <c r="G59" i="1"/>
  <c r="G66" i="1"/>
  <c r="H67" i="1"/>
  <c r="C72" i="1"/>
  <c r="H58" i="1"/>
  <c r="C49" i="1"/>
  <c r="D49" i="1"/>
  <c r="C5" i="1"/>
  <c r="C7" i="1"/>
  <c r="C8" i="1"/>
  <c r="C9" i="1"/>
  <c r="C10" i="1"/>
  <c r="C6" i="1"/>
  <c r="D21" i="1"/>
  <c r="D22" i="1"/>
  <c r="D23" i="1"/>
  <c r="D24" i="1"/>
  <c r="D25" i="1"/>
  <c r="D20" i="1"/>
  <c r="D66" i="1" l="1"/>
  <c r="E66" i="1" s="1"/>
  <c r="C56" i="1"/>
  <c r="J58" i="1"/>
  <c r="C57" i="1" l="1"/>
  <c r="C60" i="1"/>
  <c r="D72" i="1"/>
  <c r="E72" i="1" s="1"/>
  <c r="D70" i="1" l="1"/>
  <c r="E70" i="1" s="1"/>
  <c r="D67" i="1"/>
  <c r="E67" i="1" s="1"/>
  <c r="D71" i="1"/>
  <c r="E71" i="1" s="1"/>
  <c r="F68" i="1" l="1"/>
  <c r="I68" i="1" s="1"/>
  <c r="F69" i="1"/>
  <c r="I69" i="1" s="1"/>
  <c r="E78" i="1"/>
  <c r="Q78" i="1"/>
  <c r="O79" i="1" s="1"/>
  <c r="C79" i="1"/>
  <c r="F70" i="1"/>
  <c r="I70" i="1" s="1"/>
  <c r="F66" i="1"/>
  <c r="F67" i="1"/>
  <c r="C87" i="1" l="1"/>
</calcChain>
</file>

<file path=xl/sharedStrings.xml><?xml version="1.0" encoding="utf-8"?>
<sst xmlns="http://schemas.openxmlformats.org/spreadsheetml/2006/main" count="119" uniqueCount="86">
  <si>
    <t xml:space="preserve">Absorbansi </t>
  </si>
  <si>
    <t>KURVA  STANDAR GULA REDUKSI</t>
  </si>
  <si>
    <t>Konsentrasi mg/ml</t>
  </si>
  <si>
    <t>Absorbansi sampel-absorbansi blanko</t>
  </si>
  <si>
    <t>perlakuan</t>
  </si>
  <si>
    <t>ulangan 1</t>
  </si>
  <si>
    <t>ulangan 2</t>
  </si>
  <si>
    <t>ulangan 3</t>
  </si>
  <si>
    <t xml:space="preserve">A1S1 </t>
  </si>
  <si>
    <t>A2S1</t>
  </si>
  <si>
    <t>A3S1</t>
  </si>
  <si>
    <t>A1S2</t>
  </si>
  <si>
    <t>A2S2</t>
  </si>
  <si>
    <t>A3S2</t>
  </si>
  <si>
    <t>A1S3</t>
  </si>
  <si>
    <t>A2S3</t>
  </si>
  <si>
    <t>A3S3</t>
  </si>
  <si>
    <t xml:space="preserve">Total </t>
  </si>
  <si>
    <t>=</t>
  </si>
  <si>
    <t>y</t>
  </si>
  <si>
    <t>+</t>
  </si>
  <si>
    <t xml:space="preserve">Absorbansi sampel = </t>
  </si>
  <si>
    <t xml:space="preserve">x </t>
  </si>
  <si>
    <t>x</t>
  </si>
  <si>
    <t>ppm</t>
  </si>
  <si>
    <t xml:space="preserve">total </t>
  </si>
  <si>
    <t>rerata</t>
  </si>
  <si>
    <t>stdev</t>
  </si>
  <si>
    <t>FK</t>
  </si>
  <si>
    <t>JKT</t>
  </si>
  <si>
    <t>JKK</t>
  </si>
  <si>
    <t>JKP</t>
  </si>
  <si>
    <t>JKG</t>
  </si>
  <si>
    <t>TABEL DUA ARAH</t>
  </si>
  <si>
    <t xml:space="preserve">Perlakuan </t>
  </si>
  <si>
    <t xml:space="preserve">A1 </t>
  </si>
  <si>
    <t>A2</t>
  </si>
  <si>
    <t>A3</t>
  </si>
  <si>
    <t>Rerata</t>
  </si>
  <si>
    <t>S1</t>
  </si>
  <si>
    <t>S2</t>
  </si>
  <si>
    <t>S3</t>
  </si>
  <si>
    <t>J.K. Ineraksi (T X M)</t>
  </si>
  <si>
    <t>TABEL ANOVA</t>
  </si>
  <si>
    <t>d.b.=DF</t>
  </si>
  <si>
    <t>J.K = Adj SS</t>
  </si>
  <si>
    <t>K.T = Adj MS</t>
  </si>
  <si>
    <t>F hitung = F</t>
  </si>
  <si>
    <t>SUMBER VARIASI</t>
  </si>
  <si>
    <t>d.b</t>
  </si>
  <si>
    <t>J.K.</t>
  </si>
  <si>
    <t>K.T.</t>
  </si>
  <si>
    <t>F hitung</t>
  </si>
  <si>
    <t>F tabel 5%</t>
  </si>
  <si>
    <t>F tabel 1%</t>
  </si>
  <si>
    <t>Notasi</t>
  </si>
  <si>
    <t>KELOMPOK</t>
  </si>
  <si>
    <t>PERLAKUAN</t>
  </si>
  <si>
    <t>GALAT</t>
  </si>
  <si>
    <t>TOTAL</t>
  </si>
  <si>
    <t>t</t>
  </si>
  <si>
    <t>n</t>
  </si>
  <si>
    <t xml:space="preserve"> </t>
  </si>
  <si>
    <t xml:space="preserve">Uji Lanjut </t>
  </si>
  <si>
    <t>BNJ (faktor A dan S)=</t>
  </si>
  <si>
    <t>Q(5%) (t;d.b.galat) x akar(KTG/n)</t>
  </si>
  <si>
    <t>Ket:</t>
  </si>
  <si>
    <t>BNJ (faktor x S)=</t>
  </si>
  <si>
    <t>Q(5%) (3;16) x akar (5.277/3*3)</t>
  </si>
  <si>
    <t>perlakuan = BNJ Tabel (3;16) dan akar KTG/9</t>
  </si>
  <si>
    <t>Q(5%) (3;16) x akar (5.277/3)</t>
  </si>
  <si>
    <t xml:space="preserve">Interaksi = BNJ Tabel (9;16) dan akar KTG/3 </t>
  </si>
  <si>
    <t>Uji Lanjut Faktor S</t>
  </si>
  <si>
    <t xml:space="preserve">rerata </t>
  </si>
  <si>
    <t xml:space="preserve">notasi </t>
  </si>
  <si>
    <t>A1</t>
  </si>
  <si>
    <t>a</t>
  </si>
  <si>
    <t>b</t>
  </si>
  <si>
    <t>c</t>
  </si>
  <si>
    <t xml:space="preserve">BNJ </t>
  </si>
  <si>
    <t>A</t>
  </si>
  <si>
    <t>S</t>
  </si>
  <si>
    <t>AXS</t>
  </si>
  <si>
    <t>J.K.A</t>
  </si>
  <si>
    <t>J.K.S</t>
  </si>
  <si>
    <t xml:space="preserve">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</si>
</sst>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1"/>
      <color indexed="56"/>
      <name val="Arial"/>
      <family val="2"/>
    </font>
    <font>
      <sz val="11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0" xfId="0" applyFont="1"/>
    <xf numFmtId="0" fontId="1" fillId="0" borderId="0" xfId="0" quotePrefix="1" applyFont="1"/>
    <xf numFmtId="164" fontId="1" fillId="0" borderId="1" xfId="0" applyNumberFormat="1" applyFont="1" applyBorder="1"/>
    <xf numFmtId="0" fontId="0" fillId="0" borderId="1" xfId="0" applyBorder="1" applyAlignment="1">
      <alignment horizontal="center"/>
    </xf>
    <xf numFmtId="164" fontId="2" fillId="0" borderId="0" xfId="0" applyNumberFormat="1" applyFont="1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/>
    <xf numFmtId="0" fontId="5" fillId="0" borderId="1" xfId="0" applyNumberFormat="1" applyFont="1" applyFill="1" applyBorder="1" applyAlignment="1" applyProtection="1"/>
    <xf numFmtId="2" fontId="5" fillId="0" borderId="1" xfId="0" applyNumberFormat="1" applyFont="1" applyFill="1" applyBorder="1" applyAlignment="1" applyProtection="1"/>
    <xf numFmtId="0" fontId="0" fillId="0" borderId="4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2" borderId="1" xfId="0" applyFont="1" applyFill="1" applyBorder="1"/>
    <xf numFmtId="0" fontId="0" fillId="3" borderId="0" xfId="0" applyFill="1"/>
    <xf numFmtId="2" fontId="0" fillId="4" borderId="1" xfId="0" applyNumberFormat="1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2" xfId="0" applyNumberFormat="1" applyFont="1" applyFill="1" applyBorder="1" applyAlignment="1" applyProtection="1">
      <alignment vertical="center" wrapText="1"/>
    </xf>
    <xf numFmtId="0" fontId="4" fillId="0" borderId="3" xfId="0" applyNumberFormat="1" applyFont="1" applyFill="1" applyBorder="1" applyAlignment="1" applyProtection="1">
      <alignment vertical="center" wrapText="1"/>
    </xf>
    <xf numFmtId="0" fontId="4" fillId="0" borderId="2" xfId="0" applyNumberFormat="1" applyFont="1" applyFill="1" applyBorder="1" applyAlignment="1" applyProtection="1">
      <alignment vertical="center"/>
    </xf>
    <xf numFmtId="0" fontId="4" fillId="0" borderId="3" xfId="0" applyNumberFormat="1" applyFont="1" applyFill="1" applyBorder="1" applyAlignment="1" applyProtection="1">
      <alignment vertical="center"/>
    </xf>
    <xf numFmtId="0" fontId="4" fillId="0" borderId="1" xfId="0" applyNumberFormat="1" applyFont="1" applyFill="1" applyBorder="1" applyAlignment="1" applyProtection="1">
      <alignment vertical="center" wrapText="1"/>
    </xf>
    <xf numFmtId="2" fontId="0" fillId="0" borderId="0" xfId="0" applyNumberFormat="1"/>
    <xf numFmtId="0" fontId="0" fillId="0" borderId="1" xfId="0" applyBorder="1"/>
    <xf numFmtId="0" fontId="0" fillId="0" borderId="0" xfId="0" applyBorder="1"/>
    <xf numFmtId="2" fontId="0" fillId="0" borderId="1" xfId="0" applyNumberFormat="1" applyBorder="1"/>
    <xf numFmtId="2" fontId="0" fillId="0" borderId="0" xfId="0" applyNumberFormat="1" applyBorder="1"/>
    <xf numFmtId="0" fontId="2" fillId="0" borderId="0" xfId="0" applyFont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0" fillId="3" borderId="5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d-ID"/>
              <a:t>Kurva Standar </a:t>
            </a:r>
            <a:r>
              <a:rPr lang="en-US"/>
              <a:t>Gula Reduksi</a:t>
            </a:r>
            <a:endParaRPr lang="id-ID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>
                <c:manualLayout>
                  <c:x val="0.37508814523184603"/>
                  <c:y val="-0.55704469233012543"/>
                </c:manualLayout>
              </c:layout>
              <c:numFmt formatCode="General" sourceLinked="0"/>
            </c:trendlineLbl>
          </c:trendline>
          <c:xVal>
            <c:numRef>
              <c:f>Sheet1!$B$5:$B$10</c:f>
              <c:numCache>
                <c:formatCode>General</c:formatCode>
                <c:ptCount val="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</c:numCache>
            </c:numRef>
          </c:xVal>
          <c:yVal>
            <c:numRef>
              <c:f>Sheet1!$C$5:$C$10</c:f>
              <c:numCache>
                <c:formatCode>0.000</c:formatCode>
                <c:ptCount val="6"/>
                <c:pt idx="0">
                  <c:v>0</c:v>
                </c:pt>
                <c:pt idx="1">
                  <c:v>0.20599999999999999</c:v>
                </c:pt>
                <c:pt idx="2">
                  <c:v>0.30600000000000005</c:v>
                </c:pt>
                <c:pt idx="3">
                  <c:v>0.44499999999999995</c:v>
                </c:pt>
                <c:pt idx="4">
                  <c:v>0.624</c:v>
                </c:pt>
                <c:pt idx="5">
                  <c:v>0.754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2A7-41E3-8A51-0C6A72BAD8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44863280"/>
        <c:axId val="-744857296"/>
      </c:scatterChart>
      <c:valAx>
        <c:axId val="-744863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d-ID"/>
                  <a:t>Konsentrasi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-744857296"/>
        <c:crosses val="autoZero"/>
        <c:crossBetween val="midCat"/>
      </c:valAx>
      <c:valAx>
        <c:axId val="-7448572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d-ID"/>
                  <a:t>Absorbansi</a:t>
                </a:r>
              </a:p>
            </c:rich>
          </c:tx>
          <c:overlay val="0"/>
        </c:title>
        <c:numFmt formatCode="0.000" sourceLinked="1"/>
        <c:majorTickMark val="none"/>
        <c:minorTickMark val="none"/>
        <c:tickLblPos val="nextTo"/>
        <c:crossAx val="-7448632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098268213260517"/>
          <c:y val="0.14179085182314993"/>
          <c:w val="0.86901731786739478"/>
          <c:h val="0.72504583999775918"/>
        </c:manualLayout>
      </c:layout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Sheet1!$B$5:$B$10</c:f>
              <c:numCache>
                <c:formatCode>General</c:formatCode>
                <c:ptCount val="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</c:numCache>
            </c:numRef>
          </c:cat>
          <c:val>
            <c:numRef>
              <c:f>Sheet1!$C$5:$C$10</c:f>
              <c:numCache>
                <c:formatCode>0.000</c:formatCode>
                <c:ptCount val="6"/>
                <c:pt idx="0">
                  <c:v>0</c:v>
                </c:pt>
                <c:pt idx="1">
                  <c:v>0.20599999999999999</c:v>
                </c:pt>
                <c:pt idx="2">
                  <c:v>0.30600000000000005</c:v>
                </c:pt>
                <c:pt idx="3">
                  <c:v>0.44499999999999995</c:v>
                </c:pt>
                <c:pt idx="4">
                  <c:v>0.624</c:v>
                </c:pt>
                <c:pt idx="5">
                  <c:v>0.754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06F-4E16-B129-E5BCB2A144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744860016"/>
        <c:axId val="-744851856"/>
      </c:lineChart>
      <c:catAx>
        <c:axId val="-744860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44851856"/>
        <c:crosses val="autoZero"/>
        <c:auto val="1"/>
        <c:lblAlgn val="ctr"/>
        <c:lblOffset val="100"/>
        <c:noMultiLvlLbl val="0"/>
      </c:catAx>
      <c:valAx>
        <c:axId val="-744851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44860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590549</xdr:colOff>
      <xdr:row>1</xdr:row>
      <xdr:rowOff>42862</xdr:rowOff>
    </xdr:from>
    <xdr:to>
      <xdr:col>15</xdr:col>
      <xdr:colOff>66674</xdr:colOff>
      <xdr:row>15</xdr:row>
      <xdr:rowOff>185737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205740</xdr:colOff>
      <xdr:row>17</xdr:row>
      <xdr:rowOff>83820</xdr:rowOff>
    </xdr:from>
    <xdr:to>
      <xdr:col>17</xdr:col>
      <xdr:colOff>403860</xdr:colOff>
      <xdr:row>31</xdr:row>
      <xdr:rowOff>53340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85456CB7-E81D-7AB3-F422-18E3ABC7A5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92"/>
  <sheetViews>
    <sheetView tabSelected="1" topLeftCell="A72" zoomScale="90" zoomScaleNormal="90" workbookViewId="0">
      <selection activeCell="H82" sqref="H82"/>
    </sheetView>
  </sheetViews>
  <sheetFormatPr defaultColWidth="9.140625" defaultRowHeight="15.75" x14ac:dyDescent="0.25"/>
  <cols>
    <col min="1" max="1" width="9.140625" style="1"/>
    <col min="2" max="2" width="18.5703125" style="1" customWidth="1"/>
    <col min="3" max="3" width="12.5703125" style="1" customWidth="1"/>
    <col min="4" max="7" width="9.140625" style="1"/>
    <col min="8" max="8" width="8.7109375" style="1" customWidth="1"/>
    <col min="9" max="9" width="9.140625" style="1" customWidth="1"/>
    <col min="10" max="10" width="10.42578125" style="1" customWidth="1"/>
    <col min="11" max="16384" width="9.140625" style="1"/>
  </cols>
  <sheetData>
    <row r="1" spans="2:14" x14ac:dyDescent="0.25">
      <c r="N1" s="1" t="s">
        <v>62</v>
      </c>
    </row>
    <row r="2" spans="2:14" x14ac:dyDescent="0.25">
      <c r="B2" s="41" t="s">
        <v>1</v>
      </c>
      <c r="C2" s="41"/>
    </row>
    <row r="4" spans="2:14" ht="15.75" customHeight="1" x14ac:dyDescent="0.25">
      <c r="B4" s="2" t="s">
        <v>2</v>
      </c>
      <c r="C4" s="2" t="s">
        <v>0</v>
      </c>
    </row>
    <row r="5" spans="2:14" ht="15.75" customHeight="1" x14ac:dyDescent="0.25">
      <c r="B5" s="2">
        <v>0</v>
      </c>
      <c r="C5" s="6">
        <f>C20-C20</f>
        <v>0</v>
      </c>
    </row>
    <row r="6" spans="2:14" x14ac:dyDescent="0.25">
      <c r="B6" s="3">
        <v>0.2</v>
      </c>
      <c r="C6" s="6">
        <f>C21-C$20</f>
        <v>0.20599999999999999</v>
      </c>
    </row>
    <row r="7" spans="2:14" x14ac:dyDescent="0.25">
      <c r="B7" s="3">
        <v>0.4</v>
      </c>
      <c r="C7" s="6">
        <f t="shared" ref="C7:C10" si="0">C22-C$20</f>
        <v>0.30600000000000005</v>
      </c>
    </row>
    <row r="8" spans="2:14" x14ac:dyDescent="0.25">
      <c r="B8" s="3">
        <v>0.6</v>
      </c>
      <c r="C8" s="6">
        <f t="shared" si="0"/>
        <v>0.44499999999999995</v>
      </c>
    </row>
    <row r="9" spans="2:14" x14ac:dyDescent="0.25">
      <c r="B9" s="3">
        <v>0.8</v>
      </c>
      <c r="C9" s="6">
        <f t="shared" si="0"/>
        <v>0.624</v>
      </c>
    </row>
    <row r="10" spans="2:14" x14ac:dyDescent="0.25">
      <c r="B10" s="3">
        <v>1</v>
      </c>
      <c r="C10" s="6">
        <f t="shared" si="0"/>
        <v>0.754</v>
      </c>
    </row>
    <row r="18" spans="2:9" x14ac:dyDescent="0.25">
      <c r="B18" s="4"/>
      <c r="D18" s="4"/>
    </row>
    <row r="19" spans="2:9" x14ac:dyDescent="0.25">
      <c r="B19" s="2" t="s">
        <v>2</v>
      </c>
      <c r="C19" s="2" t="s">
        <v>0</v>
      </c>
      <c r="D19" s="1" t="s">
        <v>3</v>
      </c>
      <c r="F19" s="5"/>
      <c r="G19" s="5"/>
      <c r="H19" s="5"/>
    </row>
    <row r="20" spans="2:9" x14ac:dyDescent="0.25">
      <c r="B20" s="2">
        <v>0</v>
      </c>
      <c r="C20" s="2">
        <v>3.3000000000000002E-2</v>
      </c>
      <c r="D20" s="1">
        <f>C20-C$20</f>
        <v>0</v>
      </c>
      <c r="F20" s="5"/>
      <c r="G20" s="5"/>
      <c r="H20" s="5"/>
    </row>
    <row r="21" spans="2:9" x14ac:dyDescent="0.25">
      <c r="B21" s="3">
        <v>0.2</v>
      </c>
      <c r="C21" s="3">
        <v>0.23899999999999999</v>
      </c>
      <c r="D21" s="1">
        <f t="shared" ref="D21:D25" si="1">C21-C$20</f>
        <v>0.20599999999999999</v>
      </c>
    </row>
    <row r="22" spans="2:9" x14ac:dyDescent="0.25">
      <c r="B22" s="3">
        <v>0.4</v>
      </c>
      <c r="C22" s="3">
        <v>0.33900000000000002</v>
      </c>
      <c r="D22" s="1">
        <f t="shared" si="1"/>
        <v>0.30600000000000005</v>
      </c>
    </row>
    <row r="23" spans="2:9" x14ac:dyDescent="0.25">
      <c r="B23" s="3">
        <v>0.6</v>
      </c>
      <c r="C23" s="3">
        <v>0.47799999999999998</v>
      </c>
      <c r="D23" s="1">
        <f t="shared" si="1"/>
        <v>0.44499999999999995</v>
      </c>
    </row>
    <row r="24" spans="2:9" x14ac:dyDescent="0.25">
      <c r="B24" s="3">
        <v>0.8</v>
      </c>
      <c r="C24" s="3">
        <v>0.65700000000000003</v>
      </c>
      <c r="D24" s="1">
        <f t="shared" si="1"/>
        <v>0.624</v>
      </c>
    </row>
    <row r="25" spans="2:9" x14ac:dyDescent="0.25">
      <c r="B25" s="3">
        <v>1</v>
      </c>
      <c r="C25" s="3">
        <v>0.78700000000000003</v>
      </c>
      <c r="D25" s="1">
        <f t="shared" si="1"/>
        <v>0.754</v>
      </c>
    </row>
    <row r="27" spans="2:9" x14ac:dyDescent="0.25">
      <c r="B27" s="7" t="s">
        <v>4</v>
      </c>
      <c r="C27" s="7" t="s">
        <v>5</v>
      </c>
      <c r="D27" s="7" t="s">
        <v>6</v>
      </c>
      <c r="E27" s="7" t="s">
        <v>7</v>
      </c>
    </row>
    <row r="28" spans="2:9" x14ac:dyDescent="0.25">
      <c r="B28" s="7" t="s">
        <v>8</v>
      </c>
      <c r="C28" s="7">
        <v>0.88</v>
      </c>
      <c r="D28" s="7">
        <v>0.87</v>
      </c>
      <c r="E28" s="7">
        <v>0.8</v>
      </c>
      <c r="I28" s="1">
        <v>0.98799999999999999</v>
      </c>
    </row>
    <row r="29" spans="2:9" x14ac:dyDescent="0.25">
      <c r="B29" s="7" t="s">
        <v>9</v>
      </c>
      <c r="C29" s="7">
        <v>0.86</v>
      </c>
      <c r="D29" s="7">
        <v>0.89</v>
      </c>
      <c r="E29" s="7">
        <v>0.89</v>
      </c>
    </row>
    <row r="30" spans="2:9" x14ac:dyDescent="0.25">
      <c r="B30" s="7" t="s">
        <v>10</v>
      </c>
      <c r="C30" s="7">
        <v>0.89</v>
      </c>
      <c r="D30" s="7">
        <v>0.87</v>
      </c>
      <c r="E30" s="7">
        <v>0.87</v>
      </c>
      <c r="G30" s="1">
        <f>(((C35-C20)+0.001)/0.7376)*20</f>
        <v>25.162689804772231</v>
      </c>
    </row>
    <row r="31" spans="2:9" x14ac:dyDescent="0.25">
      <c r="B31" s="7" t="s">
        <v>11</v>
      </c>
      <c r="C31" s="7">
        <v>0.91</v>
      </c>
      <c r="D31" s="7">
        <v>0.9</v>
      </c>
      <c r="E31" s="7">
        <v>0.89</v>
      </c>
    </row>
    <row r="32" spans="2:9" x14ac:dyDescent="0.25">
      <c r="B32" s="7" t="s">
        <v>12</v>
      </c>
      <c r="C32" s="7">
        <v>0.89</v>
      </c>
      <c r="D32" s="7">
        <v>0.89</v>
      </c>
      <c r="E32" s="7">
        <v>0.9</v>
      </c>
    </row>
    <row r="33" spans="2:16" x14ac:dyDescent="0.25">
      <c r="B33" s="7" t="s">
        <v>13</v>
      </c>
      <c r="C33" s="7">
        <v>0.91</v>
      </c>
      <c r="D33" s="7">
        <v>0.91</v>
      </c>
      <c r="E33" s="7">
        <v>0.9</v>
      </c>
      <c r="G33" s="4" t="s">
        <v>21</v>
      </c>
      <c r="I33" s="8">
        <f>I28-C20</f>
        <v>0.95499999999999996</v>
      </c>
    </row>
    <row r="34" spans="2:16" x14ac:dyDescent="0.25">
      <c r="B34" s="7" t="s">
        <v>14</v>
      </c>
      <c r="C34" s="7">
        <v>0.98</v>
      </c>
      <c r="D34" s="7">
        <v>0.96</v>
      </c>
      <c r="E34" s="7">
        <v>0.97</v>
      </c>
      <c r="G34" s="1" t="s">
        <v>19</v>
      </c>
      <c r="H34" s="5" t="s">
        <v>18</v>
      </c>
      <c r="I34" s="1">
        <v>0.73760000000000003</v>
      </c>
      <c r="J34" s="1" t="s">
        <v>22</v>
      </c>
      <c r="K34" s="5" t="s">
        <v>20</v>
      </c>
      <c r="L34" s="1">
        <v>2.0400000000000001E-2</v>
      </c>
    </row>
    <row r="35" spans="2:16" x14ac:dyDescent="0.25">
      <c r="B35" s="7" t="s">
        <v>15</v>
      </c>
      <c r="C35" s="7">
        <v>0.96</v>
      </c>
      <c r="D35" s="7">
        <v>0.94</v>
      </c>
      <c r="E35" s="7">
        <v>0.95</v>
      </c>
      <c r="G35" s="1">
        <f>I33</f>
        <v>0.95499999999999996</v>
      </c>
      <c r="H35" s="5" t="s">
        <v>18</v>
      </c>
      <c r="I35" s="1">
        <f>I34</f>
        <v>0.73760000000000003</v>
      </c>
      <c r="J35" s="1" t="s">
        <v>22</v>
      </c>
      <c r="K35" s="5" t="s">
        <v>20</v>
      </c>
      <c r="L35" s="1">
        <f>L34</f>
        <v>2.0400000000000001E-2</v>
      </c>
    </row>
    <row r="36" spans="2:16" x14ac:dyDescent="0.25">
      <c r="B36" s="7" t="s">
        <v>16</v>
      </c>
      <c r="C36" s="7">
        <v>0.96</v>
      </c>
      <c r="D36" s="7">
        <v>0.96</v>
      </c>
      <c r="E36" s="7">
        <v>0.97</v>
      </c>
      <c r="G36" s="1" t="s">
        <v>23</v>
      </c>
      <c r="H36" s="5" t="s">
        <v>18</v>
      </c>
      <c r="I36" s="4">
        <f>(G35-L35)/I34</f>
        <v>1.2670824295010845</v>
      </c>
      <c r="J36" s="1" t="s">
        <v>24</v>
      </c>
    </row>
    <row r="37" spans="2:16" x14ac:dyDescent="0.25">
      <c r="B37" s="7" t="s">
        <v>17</v>
      </c>
      <c r="C37" s="7">
        <f>SUM(C28:C36)</f>
        <v>8.24</v>
      </c>
      <c r="D37" s="7">
        <f t="shared" ref="D37:E37" si="2">SUM(D28:D36)</f>
        <v>8.1900000000000013</v>
      </c>
      <c r="E37" s="7">
        <f t="shared" si="2"/>
        <v>8.14</v>
      </c>
      <c r="P37" s="1" t="s">
        <v>62</v>
      </c>
    </row>
    <row r="39" spans="2:16" x14ac:dyDescent="0.25">
      <c r="B39" s="3" t="s">
        <v>4</v>
      </c>
      <c r="C39" s="20" t="s">
        <v>5</v>
      </c>
      <c r="D39" s="3" t="s">
        <v>6</v>
      </c>
      <c r="E39" s="3" t="s">
        <v>7</v>
      </c>
      <c r="F39" s="9" t="s">
        <v>25</v>
      </c>
      <c r="G39" s="9" t="s">
        <v>26</v>
      </c>
      <c r="H39" s="9" t="s">
        <v>27</v>
      </c>
      <c r="J39" s="25" t="s">
        <v>60</v>
      </c>
      <c r="K39" s="25">
        <v>9</v>
      </c>
    </row>
    <row r="40" spans="2:16" x14ac:dyDescent="0.25">
      <c r="B40" s="3" t="s">
        <v>8</v>
      </c>
      <c r="C40" s="23">
        <v>22.993500000000001</v>
      </c>
      <c r="D40" s="24">
        <v>22.722300000000001</v>
      </c>
      <c r="E40" s="24">
        <v>20.824300000000001</v>
      </c>
      <c r="F40" s="22">
        <f>SUM(C40:E40)</f>
        <v>66.540099999999995</v>
      </c>
      <c r="G40" s="22">
        <f>AVERAGE(C40:E40)</f>
        <v>22.180033333333331</v>
      </c>
      <c r="H40" s="22">
        <f>_xlfn.STDEV.P(C40:E40)</f>
        <v>0.96502055706371115</v>
      </c>
      <c r="J40" s="25" t="s">
        <v>61</v>
      </c>
      <c r="K40" s="25">
        <v>3</v>
      </c>
    </row>
    <row r="41" spans="2:16" x14ac:dyDescent="0.25">
      <c r="B41" s="3" t="s">
        <v>9</v>
      </c>
      <c r="C41" s="23">
        <v>22.4512</v>
      </c>
      <c r="D41" s="24">
        <v>23.264600000000002</v>
      </c>
      <c r="E41" s="24">
        <v>23.264600000000002</v>
      </c>
      <c r="F41" s="22">
        <f t="shared" ref="F41:F47" si="3">SUM(C41:E41)</f>
        <v>68.980400000000003</v>
      </c>
      <c r="G41" s="22">
        <f t="shared" ref="G41:G48" si="4">AVERAGE(C41:E41)</f>
        <v>22.993466666666666</v>
      </c>
      <c r="H41" s="22">
        <f t="shared" ref="H41:H48" si="5">_xlfn.STDEV.P(C41:E41)</f>
        <v>0.3834404372114259</v>
      </c>
    </row>
    <row r="42" spans="2:16" x14ac:dyDescent="0.25">
      <c r="B42" s="3" t="s">
        <v>10</v>
      </c>
      <c r="C42" s="23">
        <v>23.264600000000002</v>
      </c>
      <c r="D42" s="24">
        <v>22.722300000000001</v>
      </c>
      <c r="E42" s="24">
        <v>22.722300000000001</v>
      </c>
      <c r="F42" s="22">
        <f t="shared" si="3"/>
        <v>68.70920000000001</v>
      </c>
      <c r="G42" s="22">
        <f t="shared" si="4"/>
        <v>22.903066666666671</v>
      </c>
      <c r="H42" s="22">
        <f t="shared" si="5"/>
        <v>0.25564267162497689</v>
      </c>
    </row>
    <row r="43" spans="2:16" x14ac:dyDescent="0.25">
      <c r="B43" s="3" t="s">
        <v>11</v>
      </c>
      <c r="C43" s="23">
        <v>23.806899999999999</v>
      </c>
      <c r="D43" s="24">
        <v>23.535799999999998</v>
      </c>
      <c r="E43" s="24">
        <v>23.264600000000002</v>
      </c>
      <c r="F43" s="22">
        <f t="shared" si="3"/>
        <v>70.607299999999995</v>
      </c>
      <c r="G43" s="22">
        <f t="shared" si="4"/>
        <v>23.535766666666664</v>
      </c>
      <c r="H43" s="22">
        <f t="shared" si="5"/>
        <v>0.22139304917323341</v>
      </c>
      <c r="J43" s="1" t="s">
        <v>62</v>
      </c>
    </row>
    <row r="44" spans="2:16" x14ac:dyDescent="0.25">
      <c r="B44" s="3" t="s">
        <v>12</v>
      </c>
      <c r="C44" s="23">
        <v>23.264600000000002</v>
      </c>
      <c r="D44" s="24">
        <v>23.264600000000002</v>
      </c>
      <c r="E44" s="24">
        <v>23.535799999999998</v>
      </c>
      <c r="F44" s="22">
        <f t="shared" si="3"/>
        <v>70.064999999999998</v>
      </c>
      <c r="G44" s="22">
        <f t="shared" si="4"/>
        <v>23.355</v>
      </c>
      <c r="H44" s="22">
        <f t="shared" si="5"/>
        <v>0.12784490603852627</v>
      </c>
    </row>
    <row r="45" spans="2:16" x14ac:dyDescent="0.25">
      <c r="B45" s="3" t="s">
        <v>13</v>
      </c>
      <c r="C45" s="23">
        <v>23.806899999999999</v>
      </c>
      <c r="D45" s="24">
        <v>23.806899999999999</v>
      </c>
      <c r="E45" s="24">
        <v>23.535799999999998</v>
      </c>
      <c r="F45" s="22">
        <f t="shared" si="3"/>
        <v>71.149599999999992</v>
      </c>
      <c r="G45" s="22">
        <f t="shared" si="4"/>
        <v>23.716533333333331</v>
      </c>
      <c r="H45" s="22">
        <f t="shared" si="5"/>
        <v>0.12779776558644895</v>
      </c>
    </row>
    <row r="46" spans="2:16" x14ac:dyDescent="0.25">
      <c r="B46" s="3" t="s">
        <v>14</v>
      </c>
      <c r="C46" s="23">
        <v>25.704999999999998</v>
      </c>
      <c r="D46" s="24">
        <v>25.162700000000001</v>
      </c>
      <c r="E46" s="24">
        <v>25.433800000000002</v>
      </c>
      <c r="F46" s="22">
        <f t="shared" si="3"/>
        <v>76.301500000000004</v>
      </c>
      <c r="G46" s="22">
        <f t="shared" si="4"/>
        <v>25.433833333333336</v>
      </c>
      <c r="H46" s="22">
        <f t="shared" si="5"/>
        <v>0.22139304917323341</v>
      </c>
    </row>
    <row r="47" spans="2:16" x14ac:dyDescent="0.25">
      <c r="B47" s="3" t="s">
        <v>15</v>
      </c>
      <c r="C47" s="23">
        <v>25.162700000000001</v>
      </c>
      <c r="D47" s="24">
        <v>24.6204</v>
      </c>
      <c r="E47" s="24">
        <v>24.891500000000001</v>
      </c>
      <c r="F47" s="22">
        <f t="shared" si="3"/>
        <v>74.674599999999998</v>
      </c>
      <c r="G47" s="22">
        <f t="shared" si="4"/>
        <v>24.891533333333332</v>
      </c>
      <c r="H47" s="22">
        <f t="shared" si="5"/>
        <v>0.22139304917323485</v>
      </c>
    </row>
    <row r="48" spans="2:16" x14ac:dyDescent="0.25">
      <c r="B48" s="3" t="s">
        <v>16</v>
      </c>
      <c r="C48" s="23">
        <v>25.162700000000001</v>
      </c>
      <c r="D48" s="24">
        <v>25.162700000000001</v>
      </c>
      <c r="E48" s="24">
        <v>24.233799999999999</v>
      </c>
      <c r="F48" s="22">
        <f>SUM(C48:E48)</f>
        <v>74.559200000000004</v>
      </c>
      <c r="G48" s="22">
        <f t="shared" si="4"/>
        <v>24.853066666666667</v>
      </c>
      <c r="H48" s="22">
        <f t="shared" si="5"/>
        <v>0.43788765936279039</v>
      </c>
    </row>
    <row r="49" spans="2:11" x14ac:dyDescent="0.25">
      <c r="B49" s="3" t="s">
        <v>17</v>
      </c>
      <c r="C49" s="23">
        <f>SUM(C40:C48)</f>
        <v>215.61809999999997</v>
      </c>
      <c r="D49" s="24">
        <f t="shared" ref="D49:E49" si="6">SUM(D40:D48)</f>
        <v>214.26230000000001</v>
      </c>
      <c r="E49" s="24">
        <f t="shared" si="6"/>
        <v>211.70650000000001</v>
      </c>
      <c r="F49" s="22">
        <f>SUM(F40:F48)</f>
        <v>641.58690000000013</v>
      </c>
      <c r="G49" s="9"/>
      <c r="H49" s="9"/>
    </row>
    <row r="50" spans="2:11" x14ac:dyDescent="0.25">
      <c r="B50" s="21" t="s">
        <v>26</v>
      </c>
      <c r="C50" s="22">
        <f>AVERAGE(C40:C48)</f>
        <v>23.957566666666665</v>
      </c>
      <c r="D50" s="22">
        <f t="shared" ref="D50:E50" si="7">AVERAGE(D40:D48)</f>
        <v>23.806922222222223</v>
      </c>
      <c r="E50" s="22">
        <f t="shared" si="7"/>
        <v>23.522944444444445</v>
      </c>
      <c r="F50" s="22"/>
      <c r="G50" s="9"/>
      <c r="H50" s="9"/>
    </row>
    <row r="53" spans="2:11" x14ac:dyDescent="0.25">
      <c r="B53" s="30" t="s">
        <v>28</v>
      </c>
      <c r="C53" s="26">
        <f>(F49^2)/(K39*K40)</f>
        <v>15245.694453763341</v>
      </c>
      <c r="D53"/>
      <c r="E53"/>
      <c r="F53" s="42" t="s">
        <v>33</v>
      </c>
      <c r="G53" s="42"/>
      <c r="H53" s="42"/>
      <c r="I53" s="42"/>
      <c r="J53" s="42"/>
      <c r="K53" s="42"/>
    </row>
    <row r="54" spans="2:11" x14ac:dyDescent="0.25">
      <c r="B54" s="30" t="s">
        <v>29</v>
      </c>
      <c r="C54">
        <f>SUMSQ(C40:E48)-C53</f>
        <v>32.479002446658342</v>
      </c>
      <c r="D54"/>
      <c r="E54"/>
      <c r="F54" s="10" t="s">
        <v>34</v>
      </c>
      <c r="G54" s="10" t="s">
        <v>35</v>
      </c>
      <c r="H54" s="10" t="s">
        <v>36</v>
      </c>
      <c r="I54" s="10" t="s">
        <v>37</v>
      </c>
      <c r="J54" s="11" t="s">
        <v>17</v>
      </c>
      <c r="K54" s="11" t="s">
        <v>38</v>
      </c>
    </row>
    <row r="55" spans="2:11" x14ac:dyDescent="0.25">
      <c r="B55" s="30" t="s">
        <v>30</v>
      </c>
      <c r="C55">
        <f>(((C49^2)+(D49^2)+(E49^2))/9)-C53</f>
        <v>0.87670080888165103</v>
      </c>
      <c r="D55"/>
      <c r="E55"/>
      <c r="F55" s="10" t="s">
        <v>39</v>
      </c>
      <c r="G55" s="24">
        <f>F40</f>
        <v>66.540099999999995</v>
      </c>
      <c r="H55" s="24">
        <f>F41</f>
        <v>68.980400000000003</v>
      </c>
      <c r="I55" s="24">
        <f>F42</f>
        <v>68.70920000000001</v>
      </c>
      <c r="J55" s="28">
        <f>SUM(G55:I55)</f>
        <v>204.22970000000001</v>
      </c>
      <c r="K55" s="27">
        <f>AVERAGE(G55:I55)</f>
        <v>68.076566666666665</v>
      </c>
    </row>
    <row r="56" spans="2:11" x14ac:dyDescent="0.25">
      <c r="B56" s="30" t="s">
        <v>31</v>
      </c>
      <c r="C56">
        <f>(SUMSQ(F40:F48)/3)-C53</f>
        <v>27.933668673325883</v>
      </c>
      <c r="D56"/>
      <c r="E56"/>
      <c r="F56" s="10" t="s">
        <v>40</v>
      </c>
      <c r="G56" s="24">
        <f>F43</f>
        <v>70.607299999999995</v>
      </c>
      <c r="H56" s="24">
        <f>F44</f>
        <v>70.064999999999998</v>
      </c>
      <c r="I56" s="24">
        <f>F45</f>
        <v>71.149599999999992</v>
      </c>
      <c r="J56" s="28">
        <f t="shared" ref="J56:J58" si="8">SUM(G56:I56)</f>
        <v>211.8219</v>
      </c>
      <c r="K56" s="27">
        <f t="shared" ref="K56:K57" si="9">AVERAGE(G56:I56)</f>
        <v>70.607299999999995</v>
      </c>
    </row>
    <row r="57" spans="2:11" x14ac:dyDescent="0.25">
      <c r="B57" s="30" t="s">
        <v>32</v>
      </c>
      <c r="C57">
        <f>C54-C55-C56</f>
        <v>3.6686329644508078</v>
      </c>
      <c r="D57"/>
      <c r="E57"/>
      <c r="F57" s="10" t="s">
        <v>41</v>
      </c>
      <c r="G57" s="24">
        <f>F46</f>
        <v>76.301500000000004</v>
      </c>
      <c r="H57" s="24">
        <f>F47</f>
        <v>74.674599999999998</v>
      </c>
      <c r="I57" s="24">
        <f>F48</f>
        <v>74.559200000000004</v>
      </c>
      <c r="J57" s="28">
        <f t="shared" si="8"/>
        <v>225.53530000000001</v>
      </c>
      <c r="K57" s="27">
        <f t="shared" si="9"/>
        <v>75.178433333333331</v>
      </c>
    </row>
    <row r="58" spans="2:11" x14ac:dyDescent="0.25">
      <c r="B58" s="12" t="s">
        <v>83</v>
      </c>
      <c r="C58">
        <f>(((G58^2)+(H58^2)+(I58^2))/9)-C53</f>
        <v>5.5550148879774497E-2</v>
      </c>
      <c r="D58"/>
      <c r="E58"/>
      <c r="F58" s="11" t="s">
        <v>17</v>
      </c>
      <c r="G58" s="28">
        <f>SUM(G55:G57)</f>
        <v>213.44890000000001</v>
      </c>
      <c r="H58" s="28">
        <f t="shared" ref="H58:I58" si="10">SUM(H55:H57)</f>
        <v>213.72</v>
      </c>
      <c r="I58" s="28">
        <f t="shared" si="10"/>
        <v>214.41800000000001</v>
      </c>
      <c r="J58" s="29">
        <f t="shared" si="8"/>
        <v>641.58690000000001</v>
      </c>
      <c r="K58" s="3"/>
    </row>
    <row r="59" spans="2:11" x14ac:dyDescent="0.25">
      <c r="B59" s="12" t="s">
        <v>84</v>
      </c>
      <c r="C59">
        <f>(((J55^2)+(J56^2)+(J57^2))/9)-C53</f>
        <v>25.912127102215891</v>
      </c>
      <c r="F59" s="11" t="s">
        <v>38</v>
      </c>
      <c r="G59" s="27">
        <f>AVERAGE(G55:G57)</f>
        <v>71.149633333333341</v>
      </c>
      <c r="H59" s="27">
        <f t="shared" ref="H59:I59" si="11">AVERAGE(H55:H57)</f>
        <v>71.239999999999995</v>
      </c>
      <c r="I59" s="27">
        <f t="shared" si="11"/>
        <v>71.472666666666669</v>
      </c>
      <c r="J59" s="3"/>
      <c r="K59" s="3"/>
    </row>
    <row r="60" spans="2:11" x14ac:dyDescent="0.25">
      <c r="B60" s="12" t="s">
        <v>42</v>
      </c>
      <c r="C60">
        <f>C56-C58-C59</f>
        <v>1.9659914222302177</v>
      </c>
      <c r="H60" s="12"/>
      <c r="I60"/>
    </row>
    <row r="61" spans="2:11" x14ac:dyDescent="0.25">
      <c r="H61" s="13"/>
      <c r="I61"/>
    </row>
    <row r="63" spans="2:11" x14ac:dyDescent="0.25">
      <c r="B63" s="14" t="s">
        <v>43</v>
      </c>
      <c r="C63" s="15"/>
      <c r="D63" s="16" t="s">
        <v>44</v>
      </c>
      <c r="E63" s="16" t="s">
        <v>45</v>
      </c>
      <c r="F63" s="16" t="s">
        <v>46</v>
      </c>
      <c r="G63" s="16" t="s">
        <v>47</v>
      </c>
      <c r="H63" s="16"/>
      <c r="I63" s="17"/>
    </row>
    <row r="64" spans="2:11" ht="30" customHeight="1" x14ac:dyDescent="0.25">
      <c r="B64" s="33" t="s">
        <v>48</v>
      </c>
      <c r="C64" s="33" t="s">
        <v>49</v>
      </c>
      <c r="D64" s="33" t="s">
        <v>50</v>
      </c>
      <c r="E64" s="33" t="s">
        <v>51</v>
      </c>
      <c r="F64" s="33" t="s">
        <v>52</v>
      </c>
      <c r="G64" s="31" t="s">
        <v>53</v>
      </c>
      <c r="H64" s="35" t="s">
        <v>54</v>
      </c>
      <c r="I64" s="33" t="s">
        <v>55</v>
      </c>
    </row>
    <row r="65" spans="2:18" x14ac:dyDescent="0.25">
      <c r="B65" s="34"/>
      <c r="C65" s="34"/>
      <c r="D65" s="34"/>
      <c r="E65" s="34"/>
      <c r="F65" s="34"/>
      <c r="G65" s="32"/>
      <c r="H65" s="35"/>
      <c r="I65" s="34"/>
    </row>
    <row r="66" spans="2:18" x14ac:dyDescent="0.25">
      <c r="B66" s="18" t="s">
        <v>56</v>
      </c>
      <c r="C66" s="18">
        <f>3-1</f>
        <v>2</v>
      </c>
      <c r="D66" s="19">
        <f>C55</f>
        <v>0.87670080888165103</v>
      </c>
      <c r="E66" s="19">
        <f t="shared" ref="E66:E72" si="12">D66/C66</f>
        <v>0.43835040444082551</v>
      </c>
      <c r="F66" s="19">
        <f>E66/E71</f>
        <v>1.9117765497435477</v>
      </c>
      <c r="G66" s="19">
        <f>FINV(0.05,C66,C71)</f>
        <v>3.6337234675916301</v>
      </c>
      <c r="H66" s="19">
        <f>FINV(0.01,C66,C71)</f>
        <v>6.2262352803113821</v>
      </c>
      <c r="I66" s="18" t="str">
        <f>IF(F66&lt;G66,"tn",IF(F66&lt;H66,"*","**"))</f>
        <v>tn</v>
      </c>
    </row>
    <row r="67" spans="2:18" x14ac:dyDescent="0.25">
      <c r="B67" s="18" t="s">
        <v>57</v>
      </c>
      <c r="C67" s="18">
        <f>9-1</f>
        <v>8</v>
      </c>
      <c r="D67" s="19">
        <f>C56</f>
        <v>27.933668673325883</v>
      </c>
      <c r="E67" s="19">
        <f t="shared" si="12"/>
        <v>3.4917085841657354</v>
      </c>
      <c r="F67" s="19">
        <f>E67/E71</f>
        <v>15.228380131784339</v>
      </c>
      <c r="G67" s="19">
        <f>FINV(0.05,C67,C71)</f>
        <v>2.5910961798744014</v>
      </c>
      <c r="H67" s="19">
        <f>FINV(0.01,C67,C71)</f>
        <v>3.8895721399261927</v>
      </c>
      <c r="I67" s="18" t="str">
        <f>IF(F67&lt;G67,"tn",IF(F67&lt;H67,"*","**"))</f>
        <v>**</v>
      </c>
    </row>
    <row r="68" spans="2:18" x14ac:dyDescent="0.25">
      <c r="B68" s="18" t="s">
        <v>80</v>
      </c>
      <c r="C68" s="18">
        <v>2</v>
      </c>
      <c r="D68" s="19">
        <f>C58</f>
        <v>5.5550148879774497E-2</v>
      </c>
      <c r="E68" s="19">
        <f>D68/C68</f>
        <v>2.7775074439887248E-2</v>
      </c>
      <c r="F68" s="19">
        <f>E68/E71</f>
        <v>0.12113536441079288</v>
      </c>
      <c r="G68" s="19">
        <f>FINV(0.05,C68,C71)</f>
        <v>3.6337234675916301</v>
      </c>
      <c r="H68" s="19">
        <f>FINV(0.01,C68,C71)</f>
        <v>6.2262352803113821</v>
      </c>
      <c r="I68" s="18" t="str">
        <f>IF(F68&lt;G68,"tn",IF(F68&lt;H68,"*","**"))</f>
        <v>tn</v>
      </c>
    </row>
    <row r="69" spans="2:18" x14ac:dyDescent="0.25">
      <c r="B69" s="18" t="s">
        <v>81</v>
      </c>
      <c r="C69" s="18">
        <v>2</v>
      </c>
      <c r="D69" s="19">
        <f>C59</f>
        <v>25.912127102215891</v>
      </c>
      <c r="E69" s="19">
        <f>D69/C69</f>
        <v>12.956063551107945</v>
      </c>
      <c r="F69" s="19">
        <f>E69/E71</f>
        <v>56.5052483653838</v>
      </c>
      <c r="G69" s="19">
        <f>FINV(0.05,C69,C71)</f>
        <v>3.6337234675916301</v>
      </c>
      <c r="H69" s="19">
        <f>FINV(0.01,C69,C71)</f>
        <v>6.2262352803113821</v>
      </c>
      <c r="I69" s="18" t="str">
        <f>IF(F69&lt;G69,"tn",IF(F69&lt;H69,"*","**"))</f>
        <v>**</v>
      </c>
    </row>
    <row r="70" spans="2:18" x14ac:dyDescent="0.25">
      <c r="B70" s="18" t="s">
        <v>82</v>
      </c>
      <c r="C70" s="18">
        <f>C68*C69</f>
        <v>4</v>
      </c>
      <c r="D70" s="19">
        <f>C60</f>
        <v>1.9659914222302177</v>
      </c>
      <c r="E70" s="19">
        <f t="shared" si="12"/>
        <v>0.49149785555755443</v>
      </c>
      <c r="F70" s="19">
        <f>E70/E71</f>
        <v>2.143568398671384</v>
      </c>
      <c r="G70" s="19">
        <f>FINV(0.05,C70,C71)</f>
        <v>3.0069172799243447</v>
      </c>
      <c r="H70" s="19">
        <f>FINV(0.01,C70,C71)</f>
        <v>4.772577999723211</v>
      </c>
      <c r="I70" s="18" t="str">
        <f>IF(F70&lt;G70,"tn",IF(F70&lt;H70,"*","**"))</f>
        <v>tn</v>
      </c>
    </row>
    <row r="71" spans="2:18" x14ac:dyDescent="0.25">
      <c r="B71" s="18" t="s">
        <v>58</v>
      </c>
      <c r="C71" s="18">
        <f>(3-1)*(9-1)</f>
        <v>16</v>
      </c>
      <c r="D71" s="19">
        <f>C57</f>
        <v>3.6686329644508078</v>
      </c>
      <c r="E71" s="19">
        <f t="shared" si="12"/>
        <v>0.22928956027817549</v>
      </c>
      <c r="F71" s="19"/>
      <c r="G71" s="19" t="s">
        <v>85</v>
      </c>
      <c r="H71" s="19"/>
      <c r="I71" s="18"/>
    </row>
    <row r="72" spans="2:18" x14ac:dyDescent="0.25">
      <c r="B72" s="18" t="s">
        <v>59</v>
      </c>
      <c r="C72" s="18">
        <f>C66+C67+C71</f>
        <v>26</v>
      </c>
      <c r="D72" s="19">
        <f>C54</f>
        <v>32.479002446658342</v>
      </c>
      <c r="E72" s="19">
        <f t="shared" si="12"/>
        <v>1.2491924017945517</v>
      </c>
      <c r="F72" s="19"/>
      <c r="G72" s="19"/>
      <c r="H72" s="19"/>
      <c r="I72" s="18"/>
    </row>
    <row r="73" spans="2:18" ht="15.75" customHeight="1" x14ac:dyDescent="0.25"/>
    <row r="75" spans="2:18" x14ac:dyDescent="0.25">
      <c r="B75" t="s">
        <v>63</v>
      </c>
      <c r="C75"/>
      <c r="D75"/>
      <c r="E75"/>
      <c r="F75"/>
      <c r="G75"/>
      <c r="H75"/>
      <c r="I75"/>
      <c r="J75"/>
      <c r="K75"/>
      <c r="L75"/>
      <c r="M75"/>
      <c r="N75" t="s">
        <v>63</v>
      </c>
      <c r="O75"/>
      <c r="P75"/>
      <c r="Q75"/>
      <c r="R75"/>
    </row>
    <row r="76" spans="2:18" x14ac:dyDescent="0.25">
      <c r="B76" t="s">
        <v>64</v>
      </c>
      <c r="C76" t="s">
        <v>65</v>
      </c>
      <c r="D76"/>
      <c r="E76"/>
      <c r="F76"/>
      <c r="G76"/>
      <c r="H76" t="s">
        <v>66</v>
      </c>
      <c r="I76"/>
      <c r="J76"/>
      <c r="K76"/>
      <c r="L76"/>
      <c r="M76"/>
      <c r="N76" t="s">
        <v>67</v>
      </c>
      <c r="O76" t="s">
        <v>65</v>
      </c>
      <c r="P76"/>
      <c r="Q76"/>
      <c r="R76"/>
    </row>
    <row r="77" spans="2:18" x14ac:dyDescent="0.25">
      <c r="B77"/>
      <c r="C77" t="s">
        <v>68</v>
      </c>
      <c r="D77"/>
      <c r="E77"/>
      <c r="F77"/>
      <c r="G77"/>
      <c r="H77" t="s">
        <v>69</v>
      </c>
      <c r="I77"/>
      <c r="J77"/>
      <c r="K77"/>
      <c r="L77"/>
      <c r="M77"/>
      <c r="N77"/>
      <c r="O77" t="s">
        <v>70</v>
      </c>
      <c r="P77"/>
      <c r="Q77"/>
      <c r="R77"/>
    </row>
    <row r="78" spans="2:18" x14ac:dyDescent="0.25">
      <c r="B78"/>
      <c r="C78">
        <v>3.65</v>
      </c>
      <c r="D78" t="s">
        <v>23</v>
      </c>
      <c r="E78">
        <f>SQRT(E71/9)</f>
        <v>0.15961396495509461</v>
      </c>
      <c r="F78"/>
      <c r="G78"/>
      <c r="H78" t="s">
        <v>71</v>
      </c>
      <c r="I78"/>
      <c r="J78"/>
      <c r="K78"/>
      <c r="L78"/>
      <c r="M78"/>
      <c r="N78"/>
      <c r="O78">
        <v>5.03</v>
      </c>
      <c r="P78" t="s">
        <v>23</v>
      </c>
      <c r="Q78">
        <f>SQRT(E71/3)</f>
        <v>0.27645949689974209</v>
      </c>
      <c r="R78"/>
    </row>
    <row r="79" spans="2:18" x14ac:dyDescent="0.25">
      <c r="B79"/>
      <c r="C79" s="36">
        <f>C78*E78</f>
        <v>0.58259097208609534</v>
      </c>
      <c r="D79"/>
      <c r="E79"/>
      <c r="F79"/>
      <c r="G79"/>
      <c r="H79"/>
      <c r="I79"/>
      <c r="J79"/>
      <c r="K79"/>
      <c r="L79"/>
      <c r="M79"/>
      <c r="N79"/>
      <c r="O79" s="36">
        <f>O78*Q78</f>
        <v>1.3905912694057028</v>
      </c>
      <c r="P79"/>
      <c r="Q79"/>
      <c r="R79"/>
    </row>
    <row r="80" spans="2:18" x14ac:dyDescent="0.25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</row>
    <row r="81" spans="2:18" x14ac:dyDescent="0.25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</row>
    <row r="82" spans="2:18" x14ac:dyDescent="0.25">
      <c r="B82" s="43" t="s">
        <v>72</v>
      </c>
      <c r="C82" s="43"/>
      <c r="D82" s="43"/>
      <c r="E82"/>
      <c r="F82"/>
      <c r="G82"/>
      <c r="H82"/>
      <c r="I82"/>
      <c r="J82"/>
      <c r="K82"/>
      <c r="L82"/>
      <c r="M82"/>
      <c r="Q82"/>
      <c r="R82"/>
    </row>
    <row r="83" spans="2:18" x14ac:dyDescent="0.25">
      <c r="B83" s="37" t="s">
        <v>34</v>
      </c>
      <c r="C83" s="37" t="s">
        <v>73</v>
      </c>
      <c r="D83" s="37" t="s">
        <v>74</v>
      </c>
      <c r="E83" s="38"/>
      <c r="F83" s="38"/>
      <c r="G83"/>
      <c r="H83"/>
      <c r="I83"/>
      <c r="J83"/>
      <c r="K83"/>
      <c r="L83"/>
      <c r="M83"/>
      <c r="Q83"/>
    </row>
    <row r="84" spans="2:18" x14ac:dyDescent="0.25">
      <c r="B84" s="37" t="s">
        <v>75</v>
      </c>
      <c r="C84" s="39">
        <v>68.076566666666665</v>
      </c>
      <c r="D84" s="37" t="s">
        <v>76</v>
      </c>
      <c r="E84" s="40">
        <f>C84+C79</f>
        <v>68.65915763875276</v>
      </c>
      <c r="F84" s="38"/>
      <c r="G84"/>
      <c r="H84"/>
      <c r="I84"/>
      <c r="J84"/>
      <c r="K84"/>
      <c r="L84"/>
      <c r="M84"/>
    </row>
    <row r="85" spans="2:18" x14ac:dyDescent="0.25">
      <c r="B85" s="37" t="s">
        <v>36</v>
      </c>
      <c r="C85" s="39">
        <v>70.607299999999995</v>
      </c>
      <c r="D85" s="37" t="s">
        <v>77</v>
      </c>
      <c r="E85" s="40">
        <f>C85+C79</f>
        <v>71.18989097208609</v>
      </c>
      <c r="F85" s="38"/>
      <c r="G85"/>
      <c r="H85"/>
      <c r="I85"/>
      <c r="J85"/>
      <c r="K85"/>
      <c r="L85"/>
      <c r="M85"/>
    </row>
    <row r="86" spans="2:18" x14ac:dyDescent="0.25">
      <c r="B86" s="37" t="s">
        <v>37</v>
      </c>
      <c r="C86" s="39">
        <v>75.178433333333331</v>
      </c>
      <c r="D86" s="37" t="s">
        <v>78</v>
      </c>
      <c r="E86" s="40">
        <f>C86+C79</f>
        <v>75.761024305419426</v>
      </c>
      <c r="F86" s="40">
        <f>C86-C79</f>
        <v>74.595842361247236</v>
      </c>
      <c r="G86"/>
      <c r="H86"/>
      <c r="I86"/>
      <c r="J86"/>
      <c r="K86"/>
      <c r="L86"/>
      <c r="M86"/>
    </row>
    <row r="87" spans="2:18" x14ac:dyDescent="0.25">
      <c r="B87" s="38" t="s">
        <v>79</v>
      </c>
      <c r="C87" s="40">
        <f>C79</f>
        <v>0.58259097208609534</v>
      </c>
      <c r="D87" s="38"/>
      <c r="E87"/>
      <c r="F87"/>
      <c r="G87"/>
      <c r="M87"/>
    </row>
    <row r="88" spans="2:18" x14ac:dyDescent="0.25">
      <c r="B88"/>
      <c r="C88"/>
      <c r="D88"/>
      <c r="E88"/>
      <c r="F88"/>
      <c r="G88"/>
      <c r="M88"/>
    </row>
    <row r="89" spans="2:18" x14ac:dyDescent="0.25">
      <c r="B89"/>
      <c r="C89"/>
      <c r="D89"/>
      <c r="E89"/>
      <c r="F89"/>
      <c r="G89"/>
      <c r="M89"/>
    </row>
    <row r="90" spans="2:18" x14ac:dyDescent="0.25">
      <c r="B90"/>
      <c r="C90"/>
      <c r="D90"/>
      <c r="E90"/>
      <c r="F90"/>
      <c r="G90"/>
      <c r="M90"/>
    </row>
    <row r="91" spans="2:18" x14ac:dyDescent="0.25">
      <c r="B91"/>
      <c r="C91"/>
      <c r="D91"/>
      <c r="E91"/>
      <c r="F91"/>
      <c r="G91"/>
      <c r="M91"/>
    </row>
    <row r="92" spans="2:18" x14ac:dyDescent="0.25">
      <c r="B92"/>
      <c r="C92"/>
      <c r="D92"/>
      <c r="E92"/>
      <c r="F92"/>
      <c r="G92"/>
      <c r="M92"/>
    </row>
  </sheetData>
  <mergeCells count="3">
    <mergeCell ref="B2:C2"/>
    <mergeCell ref="F53:K53"/>
    <mergeCell ref="B82:D8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TRIBUDI</dc:creator>
  <cp:lastModifiedBy>fara</cp:lastModifiedBy>
  <dcterms:created xsi:type="dcterms:W3CDTF">2024-10-18T02:54:58Z</dcterms:created>
  <dcterms:modified xsi:type="dcterms:W3CDTF">2025-05-16T10:47:24Z</dcterms:modified>
</cp:coreProperties>
</file>